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35\"/>
    </mc:Choice>
  </mc:AlternateContent>
  <bookViews>
    <workbookView xWindow="0" yWindow="0" windowWidth="19305" windowHeight="8085"/>
  </bookViews>
  <sheets>
    <sheet name="CT3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" i="1" l="1"/>
  <c r="Y24" i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Y7" i="1"/>
  <c r="Z7" i="1" s="1"/>
  <c r="Y6" i="1"/>
  <c r="Z6" i="1" s="1"/>
  <c r="Y5" i="1"/>
  <c r="Z5" i="1" s="1"/>
  <c r="Y4" i="1"/>
  <c r="Z4" i="1" s="1"/>
  <c r="Y3" i="1"/>
  <c r="Z3" i="1" s="1"/>
  <c r="Y2" i="1"/>
  <c r="Z2" i="1" s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9" i="1"/>
  <c r="F22" i="1"/>
  <c r="F21" i="1"/>
  <c r="F20" i="1"/>
  <c r="H20" i="1" s="1"/>
  <c r="F19" i="1"/>
  <c r="F18" i="1"/>
  <c r="F17" i="1"/>
  <c r="H17" i="1" s="1"/>
  <c r="F16" i="1"/>
  <c r="H16" i="1" s="1"/>
  <c r="F15" i="1"/>
  <c r="F14" i="1"/>
  <c r="F13" i="1"/>
  <c r="H13" i="1" s="1"/>
  <c r="F12" i="1"/>
  <c r="H12" i="1" s="1"/>
  <c r="F11" i="1"/>
  <c r="F10" i="1"/>
  <c r="F9" i="1"/>
  <c r="F8" i="1"/>
  <c r="H8" i="1" s="1"/>
  <c r="F7" i="1"/>
  <c r="F6" i="1"/>
  <c r="F5" i="1"/>
  <c r="H5" i="1" s="1"/>
  <c r="F4" i="1"/>
  <c r="H4" i="1" s="1"/>
  <c r="F3" i="1"/>
  <c r="F2" i="1"/>
  <c r="H21" i="1" l="1"/>
  <c r="H6" i="1"/>
  <c r="H10" i="1"/>
  <c r="H14" i="1"/>
  <c r="H18" i="1"/>
  <c r="H22" i="1"/>
  <c r="H2" i="1"/>
  <c r="H3" i="1"/>
  <c r="H7" i="1"/>
  <c r="H11" i="1"/>
  <c r="H15" i="1"/>
  <c r="H19" i="1"/>
  <c r="AA17" i="1" l="1"/>
  <c r="AA18" i="1"/>
  <c r="AA19" i="1"/>
  <c r="AA20" i="1"/>
  <c r="AA21" i="1"/>
  <c r="AA16" i="1"/>
  <c r="AA15" i="1"/>
  <c r="AB15" i="1" s="1"/>
  <c r="AA14" i="1"/>
  <c r="AA13" i="1"/>
  <c r="AA12" i="1"/>
  <c r="AB12" i="1" s="1"/>
  <c r="AA11" i="1"/>
  <c r="AB11" i="1" s="1"/>
  <c r="AA10" i="1"/>
  <c r="AA9" i="1"/>
  <c r="AA8" i="1"/>
  <c r="AB8" i="1" s="1"/>
  <c r="AA7" i="1"/>
  <c r="AB7" i="1" s="1"/>
  <c r="AA6" i="1"/>
  <c r="AA5" i="1"/>
  <c r="AA4" i="1"/>
  <c r="AB4" i="1" s="1"/>
  <c r="AA3" i="1"/>
  <c r="AB3" i="1" s="1"/>
  <c r="AA2" i="1"/>
  <c r="AE9" i="1"/>
  <c r="AB16" i="1" l="1"/>
  <c r="AB18" i="1"/>
  <c r="AB19" i="1"/>
  <c r="AB5" i="1"/>
  <c r="AB21" i="1"/>
  <c r="AB9" i="1"/>
  <c r="AB13" i="1"/>
  <c r="AB17" i="1"/>
  <c r="AB2" i="1"/>
  <c r="AB6" i="1"/>
  <c r="AB10" i="1"/>
  <c r="AB14" i="1"/>
  <c r="AB20" i="1"/>
  <c r="I17" i="1"/>
  <c r="I18" i="1"/>
  <c r="I19" i="1"/>
  <c r="I20" i="1"/>
  <c r="I21" i="1"/>
  <c r="G17" i="1"/>
  <c r="G18" i="1"/>
  <c r="G19" i="1"/>
  <c r="G20" i="1"/>
  <c r="G21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E3" i="1" l="1"/>
  <c r="K2" i="1" s="1"/>
  <c r="K12" i="1" l="1"/>
  <c r="M12" i="1" s="1"/>
  <c r="T12" i="1" s="1"/>
  <c r="X12" i="1"/>
  <c r="AC12" i="1" s="1"/>
  <c r="M2" i="1"/>
  <c r="K22" i="1"/>
  <c r="K14" i="1"/>
  <c r="M14" i="1" s="1"/>
  <c r="K15" i="1"/>
  <c r="M15" i="1" s="1"/>
  <c r="K13" i="1"/>
  <c r="M13" i="1" s="1"/>
  <c r="K9" i="1"/>
  <c r="M9" i="1" s="1"/>
  <c r="K17" i="1"/>
  <c r="M17" i="1" s="1"/>
  <c r="K20" i="1"/>
  <c r="M20" i="1" s="1"/>
  <c r="K18" i="1"/>
  <c r="M18" i="1" s="1"/>
  <c r="K19" i="1"/>
  <c r="M19" i="1" s="1"/>
  <c r="K21" i="1"/>
  <c r="M21" i="1" s="1"/>
  <c r="K3" i="1"/>
  <c r="M3" i="1" s="1"/>
  <c r="K16" i="1"/>
  <c r="M16" i="1" s="1"/>
  <c r="K6" i="1"/>
  <c r="M6" i="1" s="1"/>
  <c r="K7" i="1"/>
  <c r="M7" i="1" s="1"/>
  <c r="K4" i="1"/>
  <c r="M4" i="1" s="1"/>
  <c r="K5" i="1"/>
  <c r="M5" i="1" s="1"/>
  <c r="K10" i="1"/>
  <c r="M10" i="1" s="1"/>
  <c r="K11" i="1"/>
  <c r="M11" i="1" s="1"/>
  <c r="K8" i="1"/>
  <c r="M8" i="1" s="1"/>
  <c r="O12" i="1" l="1"/>
  <c r="X10" i="1"/>
  <c r="O10" i="1"/>
  <c r="Q10" i="1" s="1"/>
  <c r="T10" i="1"/>
  <c r="O19" i="1"/>
  <c r="T19" i="1"/>
  <c r="Q19" i="1"/>
  <c r="X19" i="1"/>
  <c r="O15" i="1"/>
  <c r="Q15" i="1" s="1"/>
  <c r="X15" i="1"/>
  <c r="T15" i="1"/>
  <c r="M22" i="1"/>
  <c r="X5" i="1"/>
  <c r="T5" i="1"/>
  <c r="O5" i="1"/>
  <c r="Q5" i="1" s="1"/>
  <c r="O18" i="1"/>
  <c r="Q18" i="1" s="1"/>
  <c r="X18" i="1"/>
  <c r="AC18" i="1" s="1"/>
  <c r="T18" i="1"/>
  <c r="O2" i="1"/>
  <c r="Q2" i="1" s="1"/>
  <c r="T2" i="1"/>
  <c r="V2" i="1" s="1"/>
  <c r="X2" i="1"/>
  <c r="AC2" i="1" s="1"/>
  <c r="Q12" i="1"/>
  <c r="X4" i="1"/>
  <c r="AC4" i="1" s="1"/>
  <c r="T4" i="1"/>
  <c r="O4" i="1"/>
  <c r="Q4" i="1" s="1"/>
  <c r="X20" i="1"/>
  <c r="T20" i="1"/>
  <c r="O20" i="1"/>
  <c r="Q20" i="1" s="1"/>
  <c r="T6" i="1"/>
  <c r="O6" i="1"/>
  <c r="Q6" i="1" s="1"/>
  <c r="X6" i="1"/>
  <c r="AC6" i="1" s="1"/>
  <c r="O9" i="1"/>
  <c r="Q9" i="1" s="1"/>
  <c r="X9" i="1"/>
  <c r="T9" i="1"/>
  <c r="X16" i="1"/>
  <c r="AC16" i="1" s="1"/>
  <c r="T16" i="1"/>
  <c r="O16" i="1"/>
  <c r="Q16" i="1" s="1"/>
  <c r="X8" i="1"/>
  <c r="T8" i="1"/>
  <c r="O8" i="1"/>
  <c r="X3" i="1"/>
  <c r="O3" i="1"/>
  <c r="Q3" i="1" s="1"/>
  <c r="T3" i="1"/>
  <c r="O11" i="1"/>
  <c r="T11" i="1"/>
  <c r="X11" i="1"/>
  <c r="O7" i="1"/>
  <c r="X7" i="1"/>
  <c r="T7" i="1"/>
  <c r="O21" i="1"/>
  <c r="X21" i="1"/>
  <c r="AC21" i="1" s="1"/>
  <c r="T21" i="1"/>
  <c r="O17" i="1"/>
  <c r="Q17" i="1" s="1"/>
  <c r="X17" i="1"/>
  <c r="T17" i="1"/>
  <c r="O13" i="1"/>
  <c r="Q13" i="1" s="1"/>
  <c r="X13" i="1"/>
  <c r="T13" i="1"/>
  <c r="T14" i="1"/>
  <c r="X14" i="1"/>
  <c r="AC14" i="1" s="1"/>
  <c r="O14" i="1"/>
  <c r="Q14" i="1" s="1"/>
  <c r="AC20" i="1"/>
  <c r="AC7" i="1"/>
  <c r="AC17" i="1"/>
  <c r="AC10" i="1"/>
  <c r="AC19" i="1"/>
  <c r="AC9" i="1"/>
  <c r="AC3" i="1"/>
  <c r="Q11" i="1" l="1"/>
  <c r="O22" i="1"/>
  <c r="Q22" i="1" s="1"/>
  <c r="AC5" i="1"/>
  <c r="Q7" i="1"/>
  <c r="Q8" i="1"/>
  <c r="Q21" i="1"/>
  <c r="AC11" i="1"/>
  <c r="AC8" i="1"/>
  <c r="AC15" i="1"/>
  <c r="V3" i="1"/>
  <c r="V10" i="1"/>
  <c r="AC13" i="1"/>
  <c r="V11" i="1"/>
  <c r="V7" i="1"/>
  <c r="V13" i="1"/>
  <c r="AC23" i="1" l="1"/>
  <c r="V19" i="1"/>
  <c r="V16" i="1"/>
  <c r="V12" i="1"/>
  <c r="V14" i="1"/>
  <c r="V4" i="1"/>
  <c r="V6" i="1"/>
  <c r="V5" i="1"/>
  <c r="V15" i="1"/>
  <c r="V17" i="1"/>
  <c r="V18" i="1"/>
  <c r="V21" i="1"/>
  <c r="V9" i="1"/>
  <c r="V8" i="1"/>
  <c r="V20" i="1"/>
</calcChain>
</file>

<file path=xl/sharedStrings.xml><?xml version="1.0" encoding="utf-8"?>
<sst xmlns="http://schemas.openxmlformats.org/spreadsheetml/2006/main" count="55" uniqueCount="55">
  <si>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</si>
  <si>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</si>
  <si>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</si>
  <si>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</si>
  <si>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</si>
  <si>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</si>
  <si>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</si>
  <si>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</si>
  <si>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</si>
  <si>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</si>
  <si>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</si>
  <si>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</si>
  <si>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Corrected Sr-90 Activity (DPM)</t>
  </si>
  <si>
    <t>Cumulative Activity (DPM)</t>
  </si>
  <si>
    <t>Decay constant of sr-90=</t>
  </si>
  <si>
    <t>DC factor</t>
  </si>
  <si>
    <t>CT35 1 mL</t>
  </si>
  <si>
    <t>CT35 2 mL</t>
  </si>
  <si>
    <t>CT35 3 mL</t>
  </si>
  <si>
    <t>CT35 4 mL</t>
  </si>
  <si>
    <t>CT35 5 mL</t>
  </si>
  <si>
    <t>CT35 6 mL</t>
  </si>
  <si>
    <t>CT35 7 mL</t>
  </si>
  <si>
    <t>CT35 8 mL</t>
  </si>
  <si>
    <t>CT35 9 mL</t>
  </si>
  <si>
    <t>CT35 10 mL</t>
  </si>
  <si>
    <t>CT35 11 mL</t>
  </si>
  <si>
    <t>CT35 12 mL</t>
  </si>
  <si>
    <t>CT35 13 mL</t>
  </si>
  <si>
    <t>CT35 14 mL</t>
  </si>
  <si>
    <t>CT35 15 mL</t>
  </si>
  <si>
    <t>CT35 16 mL</t>
  </si>
  <si>
    <t>CT35 17 mL</t>
  </si>
  <si>
    <t>CT35 18 mL</t>
  </si>
  <si>
    <t>CT35 19 mL</t>
  </si>
  <si>
    <t>CT35 20 mL</t>
  </si>
  <si>
    <t>5 ml/min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</si>
  <si>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</si>
  <si>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</si>
  <si>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</si>
  <si>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</si>
  <si>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</si>
  <si>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</si>
  <si>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</si>
  <si>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</t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</si>
  <si>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</si>
  <si>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</si>
  <si>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</si>
  <si>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</si>
  <si>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</si>
  <si>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</si>
  <si>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Time from 05.06.2018</t>
  </si>
  <si>
    <t>DC to 05.06.2018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</si>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</sst>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0" fontId="0" fillId="0" borderId="2" xfId="0" applyBorder="1"/>
    <xf numFmtId="0" fontId="0" fillId="0" borderId="4" xfId="0" applyBorder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1" xfId="0" applyBorder="1"/>
    <xf numFmtId="0" fontId="1" fillId="0" borderId="0" xfId="0" applyFont="1"/>
    <xf numFmtId="22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zoomScale="90" zoomScaleNormal="90" workbookViewId="0">
      <selection activeCell="D29" sqref="D29"/>
    </sheetView>
  </sheetViews>
  <sheetFormatPr defaultRowHeight="15" x14ac:dyDescent="0.25"/>
  <cols>
    <col min="1" max="1" width="13.5703125" bestFit="1" customWidth="1"/>
    <col min="2" max="2" width="20.5703125" customWidth="1"/>
    <col min="3" max="3" width="17.140625" bestFit="1" customWidth="1"/>
    <col min="4" max="4" width="17.5703125" bestFit="1" customWidth="1"/>
    <col min="5" max="6" width="17.5703125" style="6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30" width="24.7109375" customWidth="1"/>
    <col min="31" max="31" width="22.140625" bestFit="1" customWidth="1"/>
  </cols>
  <sheetData>
    <row r="1" spans="1:31" ht="15.75" thickBot="1" x14ac:dyDescent="0.3">
      <c r="A1" s="25" t="s">
        <v>3</v>
      </c>
      <c r="B1" s="22" t="s">
        <v>5</v>
      </c>
      <c r="C1" s="7" t="s">
        <v>4</v>
      </c>
      <c r="D1" s="7" t="s">
        <v>0</v>
      </c>
      <c r="E1" s="3" t="s">
        <v>37</v>
      </c>
      <c r="F1" s="3" t="s">
        <v>38</v>
      </c>
      <c r="G1" s="7" t="s">
        <v>10</v>
      </c>
      <c r="H1" s="3" t="s">
        <v>39</v>
      </c>
      <c r="I1" s="7" t="s">
        <v>1</v>
      </c>
      <c r="J1" s="3" t="s">
        <v>40</v>
      </c>
      <c r="K1" s="7" t="s">
        <v>6</v>
      </c>
      <c r="L1" s="3" t="s">
        <v>41</v>
      </c>
      <c r="M1" s="7" t="s">
        <v>7</v>
      </c>
      <c r="N1" s="3" t="s">
        <v>42</v>
      </c>
      <c r="O1" s="7" t="s">
        <v>8</v>
      </c>
      <c r="P1" s="3" t="s">
        <v>43</v>
      </c>
      <c r="Q1" s="7" t="s">
        <v>9</v>
      </c>
      <c r="R1" s="7" t="s">
        <v>44</v>
      </c>
      <c r="S1" s="3" t="s">
        <v>45</v>
      </c>
      <c r="T1" s="7" t="s">
        <v>12</v>
      </c>
      <c r="U1" s="3" t="s">
        <v>46</v>
      </c>
      <c r="V1" s="7" t="s">
        <v>13</v>
      </c>
      <c r="W1" s="3" t="s">
        <v>47</v>
      </c>
      <c r="X1" s="7" t="s">
        <v>48</v>
      </c>
      <c r="Y1" s="3" t="s">
        <v>49</v>
      </c>
      <c r="Z1" s="3" t="s">
        <v>50</v>
      </c>
      <c r="AA1" s="7" t="s">
        <v>51</v>
      </c>
      <c r="AB1" s="7" t="s">
        <v>15</v>
      </c>
      <c r="AC1" s="8" t="s">
        <v>52</v>
      </c>
    </row>
    <row r="2" spans="1:31" x14ac:dyDescent="0.25">
      <c r="A2" s="26" t="s">
        <v>16</v>
      </c>
      <c r="B2" s="23">
        <v>43364.458333333336</v>
      </c>
      <c r="C2" s="18">
        <v>43364.775694444441</v>
      </c>
      <c r="D2" s="19">
        <v>8.5299999999999994</v>
      </c>
      <c r="E2" s="4">
        <v>6.32</v>
      </c>
      <c r="F2" s="4">
        <f>D2*(E2/100)</f>
        <v>0.53909600000000002</v>
      </c>
      <c r="G2" s="17">
        <f t="shared" ref="G2:G22" si="0">D2-$D$22</f>
        <v>0.13999999999999879</v>
      </c>
      <c r="H2" s="4">
        <f>SQRT((F2^2)+(F$17^2))</f>
        <v>0.76386482188670013</v>
      </c>
      <c r="I2" s="20">
        <f>(C2-B2)*24</f>
        <v>7.6166666665230878</v>
      </c>
      <c r="J2" s="9">
        <f>1/60</f>
        <v>1.6666666666666666E-2</v>
      </c>
      <c r="K2" s="17">
        <f>1-EXP(-$AE$3*I2)</f>
        <v>8.2391885581188817E-2</v>
      </c>
      <c r="L2" s="4">
        <f>K2*SQRT(((J2/I2)^2))</f>
        <v>1.8028858989659071E-4</v>
      </c>
      <c r="M2" s="17">
        <f>G2/((1+K2))</f>
        <v>0.12934317215878424</v>
      </c>
      <c r="N2" s="4">
        <f t="shared" ref="N2:N22" si="1">M2*SQRT(((H2/G2)^2)+((L2/K2)^2))</f>
        <v>0.70571933649157725</v>
      </c>
      <c r="O2" s="17">
        <f>M2*K2</f>
        <v>1.0656827841214559E-2</v>
      </c>
      <c r="P2" s="4">
        <f t="shared" ref="P2:P22" si="2">O2*SQRT(((N2/M2)^2)+((L2/K2)^2))</f>
        <v>5.8145551500673714E-2</v>
      </c>
      <c r="Q2" s="17">
        <f>M2+O2</f>
        <v>0.13999999999999879</v>
      </c>
      <c r="R2" s="17">
        <v>0.84389999999999965</v>
      </c>
      <c r="S2" s="4">
        <v>1.4142135623730951E-4</v>
      </c>
      <c r="T2" s="17">
        <f>M2/R2</f>
        <v>0.15326836373833902</v>
      </c>
      <c r="U2" s="4">
        <f>T2*SQRT(((S2/R2)^2)+((N2/M2)^2))</f>
        <v>0.83625943455912588</v>
      </c>
      <c r="V2" s="17">
        <f>SUM($T$2:T2)</f>
        <v>0.15326836373833902</v>
      </c>
      <c r="W2" s="4">
        <f>SQRT((U2^2))</f>
        <v>0.83625943455912588</v>
      </c>
      <c r="X2" s="17">
        <f>M2/60</f>
        <v>2.1557195359797375E-3</v>
      </c>
      <c r="Y2" s="4">
        <f>X2*SQRT(((N2/M2)^2))</f>
        <v>1.1761988941526288E-2</v>
      </c>
      <c r="Z2" s="4">
        <f>Y2^2</f>
        <v>1.383443838605867E-4</v>
      </c>
      <c r="AA2" s="17">
        <f>(C2-$AE$6)*24</f>
        <v>198.6166666665813</v>
      </c>
      <c r="AB2" s="21">
        <f>EXP(-$AE$9*AA2)</f>
        <v>0.9994544606690049</v>
      </c>
      <c r="AC2" s="17">
        <f>X2/AB2</f>
        <v>2.1568962076939087E-3</v>
      </c>
      <c r="AE2" t="s">
        <v>2</v>
      </c>
    </row>
    <row r="3" spans="1:31" x14ac:dyDescent="0.25">
      <c r="A3" s="27" t="s">
        <v>17</v>
      </c>
      <c r="B3" s="24">
        <v>43364.458472222221</v>
      </c>
      <c r="C3" s="13">
        <v>43364.798611111109</v>
      </c>
      <c r="D3" s="14">
        <v>9.2799999999999994</v>
      </c>
      <c r="E3" s="5">
        <v>6.06</v>
      </c>
      <c r="F3" s="5">
        <f t="shared" ref="F3:F22" si="3">D3*(E3/100)</f>
        <v>0.56236799999999987</v>
      </c>
      <c r="G3" s="11">
        <f t="shared" si="0"/>
        <v>0.88999999999999879</v>
      </c>
      <c r="H3" s="5">
        <f>SQRT((F3^2)+(F$17^2))</f>
        <v>0.78046315500733277</v>
      </c>
      <c r="I3" s="15">
        <f t="shared" ref="I3:I21" si="4">(C3-B3)*24</f>
        <v>8.1633333333302289</v>
      </c>
      <c r="J3" s="10">
        <f t="shared" ref="J3:J22" si="5">1/60</f>
        <v>1.6666666666666666E-2</v>
      </c>
      <c r="K3" s="11">
        <f>1-EXP(-$AE$3*I3)</f>
        <v>8.8037322094075332E-2</v>
      </c>
      <c r="L3" s="5">
        <f t="shared" ref="L3:L22" si="6">K3*SQRT(((J3/I3)^2))</f>
        <v>1.7974136809740469E-4</v>
      </c>
      <c r="M3" s="11">
        <f>G3/((1+K3))</f>
        <v>0.81798664616308669</v>
      </c>
      <c r="N3" s="5">
        <f t="shared" si="1"/>
        <v>0.71731479646700413</v>
      </c>
      <c r="O3" s="11">
        <f>M3*K3</f>
        <v>7.2013353836912097E-2</v>
      </c>
      <c r="P3" s="5">
        <f t="shared" si="2"/>
        <v>6.3150644931150732E-2</v>
      </c>
      <c r="Q3" s="11">
        <f t="shared" ref="Q3:Q22" si="7">M3+O3</f>
        <v>0.88999999999999879</v>
      </c>
      <c r="R3" s="11">
        <v>0.94059999999999988</v>
      </c>
      <c r="S3" s="5">
        <v>1.4142135623730951E-4</v>
      </c>
      <c r="T3" s="11">
        <f>M3/R3</f>
        <v>0.86964346817253535</v>
      </c>
      <c r="U3" s="5">
        <f t="shared" ref="U3:U22" si="8">T3*SQRT(((S3/R3)^2)+((N3/M3)^2))</f>
        <v>0.76261408357453753</v>
      </c>
      <c r="V3" s="11">
        <f>SUM($T$2:T3)</f>
        <v>1.0229118319108743</v>
      </c>
      <c r="W3" s="5">
        <f>SQRT((U3^2)+(U2^2))</f>
        <v>1.1317729818101245</v>
      </c>
      <c r="X3" s="11">
        <f t="shared" ref="X3:X21" si="9">M3/60</f>
        <v>1.3633110769384778E-2</v>
      </c>
      <c r="Y3" s="5">
        <f t="shared" ref="Y3:Y16" si="10">X3*SQRT(((N3/M3)^2))</f>
        <v>1.1955246607783403E-2</v>
      </c>
      <c r="Z3" s="5">
        <f t="shared" ref="Z3:Z16" si="11">Y3^2</f>
        <v>1.4292792145291657E-4</v>
      </c>
      <c r="AA3" s="11">
        <f>(C3-$AE$6)*24</f>
        <v>199.16666666662786</v>
      </c>
      <c r="AB3" s="16">
        <f t="shared" ref="AB3:AB21" si="12">EXP(-$AE$9*AA3)</f>
        <v>0.99945295040024462</v>
      </c>
      <c r="AC3" s="11">
        <f t="shared" ref="AC3:AC21" si="13">X3/AB3</f>
        <v>1.364057283929695E-2</v>
      </c>
      <c r="AE3">
        <f>LN(2)/61.4</f>
        <v>1.1289042028663604E-2</v>
      </c>
    </row>
    <row r="4" spans="1:31" x14ac:dyDescent="0.25">
      <c r="A4" s="27" t="s">
        <v>18</v>
      </c>
      <c r="B4" s="24">
        <v>43364.458611111113</v>
      </c>
      <c r="C4" s="13">
        <v>43364.820833333331</v>
      </c>
      <c r="D4" s="14">
        <v>8.8000000000000007</v>
      </c>
      <c r="E4" s="5">
        <v>6.23</v>
      </c>
      <c r="F4" s="5">
        <f t="shared" si="3"/>
        <v>0.54824000000000006</v>
      </c>
      <c r="G4" s="11">
        <f t="shared" si="0"/>
        <v>0.41000000000000014</v>
      </c>
      <c r="H4" s="5">
        <f t="shared" ref="H4:H17" si="14">SQRT((F4^2)+(F$17^2))</f>
        <v>0.77034542024990327</v>
      </c>
      <c r="I4" s="15">
        <f t="shared" si="4"/>
        <v>8.6933333332417533</v>
      </c>
      <c r="J4" s="10">
        <f t="shared" si="5"/>
        <v>1.6666666666666666E-2</v>
      </c>
      <c r="K4" s="11">
        <f>1-EXP(-$AE$3*I4)</f>
        <v>9.3477479160855248E-2</v>
      </c>
      <c r="L4" s="5">
        <f t="shared" si="6"/>
        <v>1.7921295851579751E-4</v>
      </c>
      <c r="M4" s="11">
        <f>G4/((1+K4))</f>
        <v>0.37495056625641521</v>
      </c>
      <c r="N4" s="5">
        <f t="shared" si="1"/>
        <v>0.70449171195655558</v>
      </c>
      <c r="O4" s="11">
        <f>M4*K4</f>
        <v>3.5049433743584928E-2</v>
      </c>
      <c r="P4" s="5">
        <f t="shared" si="2"/>
        <v>6.5854143606022528E-2</v>
      </c>
      <c r="Q4" s="11">
        <f t="shared" si="7"/>
        <v>0.41000000000000014</v>
      </c>
      <c r="R4" s="11">
        <v>1.0012999999999996</v>
      </c>
      <c r="S4" s="5">
        <v>1.4142135623730951E-4</v>
      </c>
      <c r="T4" s="11">
        <f>M4/R4</f>
        <v>0.37446376336404208</v>
      </c>
      <c r="U4" s="5">
        <f t="shared" si="8"/>
        <v>0.70357706376407791</v>
      </c>
      <c r="V4" s="11">
        <f>SUM($T$2:T4)</f>
        <v>1.3973755952749163</v>
      </c>
      <c r="W4" s="5">
        <f>SQRT((U4^2)+(U3^2)+(U2^2))</f>
        <v>1.3326405243013819</v>
      </c>
      <c r="X4" s="11">
        <f t="shared" si="9"/>
        <v>6.2491761042735867E-3</v>
      </c>
      <c r="Y4" s="5">
        <f t="shared" si="10"/>
        <v>1.174152853260926E-2</v>
      </c>
      <c r="Z4" s="5">
        <f t="shared" si="11"/>
        <v>1.3786349228207736E-4</v>
      </c>
      <c r="AA4" s="11">
        <f>(C4-$AE$6)*24</f>
        <v>199.69999999995343</v>
      </c>
      <c r="AB4" s="16">
        <f t="shared" si="12"/>
        <v>0.99945148589938404</v>
      </c>
      <c r="AC4" s="11">
        <f t="shared" si="13"/>
        <v>6.2526057466912388E-3</v>
      </c>
    </row>
    <row r="5" spans="1:31" x14ac:dyDescent="0.25">
      <c r="A5" s="27" t="s">
        <v>19</v>
      </c>
      <c r="B5" s="24">
        <v>43364.458749826386</v>
      </c>
      <c r="C5" s="13">
        <v>43364.84375</v>
      </c>
      <c r="D5" s="14">
        <v>10.44</v>
      </c>
      <c r="E5" s="5">
        <v>5.72</v>
      </c>
      <c r="F5" s="5">
        <f t="shared" si="3"/>
        <v>0.59716800000000003</v>
      </c>
      <c r="G5" s="11">
        <f t="shared" si="0"/>
        <v>2.0499999999999989</v>
      </c>
      <c r="H5" s="5">
        <f t="shared" si="14"/>
        <v>0.80589986296313521</v>
      </c>
      <c r="I5" s="15">
        <f t="shared" si="4"/>
        <v>9.2400041667278856</v>
      </c>
      <c r="J5" s="10">
        <f t="shared" si="5"/>
        <v>1.6666666666666666E-2</v>
      </c>
      <c r="K5" s="11">
        <f>1-EXP(-$AE$3*I5)</f>
        <v>9.9054755718607224E-2</v>
      </c>
      <c r="L5" s="5">
        <f t="shared" si="6"/>
        <v>1.7867011372731334E-4</v>
      </c>
      <c r="M5" s="11">
        <f>G5/((1+K5))</f>
        <v>1.8652391878870718</v>
      </c>
      <c r="N5" s="5">
        <f t="shared" si="1"/>
        <v>0.73327406276336571</v>
      </c>
      <c r="O5" s="11">
        <f>M5*K5</f>
        <v>0.18476081211292722</v>
      </c>
      <c r="P5" s="5">
        <f t="shared" si="2"/>
        <v>7.2635047699600955E-2</v>
      </c>
      <c r="Q5" s="11">
        <f t="shared" si="7"/>
        <v>2.0499999999999989</v>
      </c>
      <c r="R5" s="11">
        <v>0.81020000000000003</v>
      </c>
      <c r="S5" s="5">
        <v>1.4142135623730951E-4</v>
      </c>
      <c r="T5" s="11">
        <f>M5/R5</f>
        <v>2.3021959860368697</v>
      </c>
      <c r="U5" s="5">
        <f t="shared" si="8"/>
        <v>0.90505323999429999</v>
      </c>
      <c r="V5" s="11">
        <f>SUM($T$2:T5)</f>
        <v>3.699571581311786</v>
      </c>
      <c r="W5" s="5">
        <f>SQRT((U5^2)+(U4^2)+(U3^2)+(U2^2))</f>
        <v>1.6109165509840795</v>
      </c>
      <c r="X5" s="11">
        <f t="shared" si="9"/>
        <v>3.1087319798117862E-2</v>
      </c>
      <c r="Y5" s="5">
        <f t="shared" si="10"/>
        <v>1.2221234379389429E-2</v>
      </c>
      <c r="Z5" s="5">
        <f t="shared" si="11"/>
        <v>1.4935856975597012E-4</v>
      </c>
      <c r="AA5" s="11">
        <f>(C5-$AE$6)*24</f>
        <v>200.25</v>
      </c>
      <c r="AB5" s="16">
        <f t="shared" si="12"/>
        <v>0.99944997563511895</v>
      </c>
      <c r="AC5" s="11">
        <f t="shared" si="13"/>
        <v>3.1104427991368803E-2</v>
      </c>
    </row>
    <row r="6" spans="1:31" x14ac:dyDescent="0.25">
      <c r="A6" s="27" t="s">
        <v>20</v>
      </c>
      <c r="B6" s="24">
        <v>43364.458888657406</v>
      </c>
      <c r="C6" s="13">
        <v>43364.866666724534</v>
      </c>
      <c r="D6" s="14">
        <v>41.35</v>
      </c>
      <c r="E6" s="5">
        <v>2.87</v>
      </c>
      <c r="F6" s="5">
        <f t="shared" si="3"/>
        <v>1.1867449999999999</v>
      </c>
      <c r="G6" s="11">
        <f t="shared" si="0"/>
        <v>32.96</v>
      </c>
      <c r="H6" s="5">
        <f t="shared" si="14"/>
        <v>1.3043115670440861</v>
      </c>
      <c r="I6" s="15">
        <f t="shared" si="4"/>
        <v>9.7866736110881902</v>
      </c>
      <c r="J6" s="10">
        <f t="shared" si="5"/>
        <v>1.6666666666666666E-2</v>
      </c>
      <c r="K6" s="11">
        <f>1-EXP(-$AE$3*I6)</f>
        <v>0.10459770467597296</v>
      </c>
      <c r="L6" s="5">
        <f t="shared" si="6"/>
        <v>1.7812947965872175E-4</v>
      </c>
      <c r="M6" s="11">
        <f>G6/((1+K6))</f>
        <v>29.838917698700648</v>
      </c>
      <c r="N6" s="5">
        <f t="shared" si="1"/>
        <v>1.1818952636260849</v>
      </c>
      <c r="O6" s="11">
        <f>M6*K6</f>
        <v>3.1210823012993529</v>
      </c>
      <c r="P6" s="5">
        <f t="shared" si="2"/>
        <v>0.12373774224003707</v>
      </c>
      <c r="Q6" s="11">
        <f t="shared" si="7"/>
        <v>32.96</v>
      </c>
      <c r="R6" s="11">
        <v>0.77210000000000001</v>
      </c>
      <c r="S6" s="5">
        <v>1.4142135623730951E-4</v>
      </c>
      <c r="T6" s="11">
        <f>M6/R6</f>
        <v>38.646441780469686</v>
      </c>
      <c r="U6" s="5">
        <f t="shared" si="8"/>
        <v>1.5307704966242823</v>
      </c>
      <c r="V6" s="11">
        <f>SUM($T$2:T6)</f>
        <v>42.346013361781473</v>
      </c>
      <c r="W6" s="5">
        <f>SQRT((U6^2)+(U5^2)+(U4^2)+(U3^2)+(U2^2))</f>
        <v>2.2222309617971292</v>
      </c>
      <c r="X6" s="11">
        <f t="shared" si="9"/>
        <v>0.49731529497834415</v>
      </c>
      <c r="Y6" s="5">
        <f t="shared" si="10"/>
        <v>1.9698254393768082E-2</v>
      </c>
      <c r="Z6" s="5">
        <f t="shared" si="11"/>
        <v>3.8802122616160355E-4</v>
      </c>
      <c r="AA6" s="11">
        <f>(C6-$AE$6)*24</f>
        <v>200.80000138882315</v>
      </c>
      <c r="AB6" s="16">
        <f t="shared" si="12"/>
        <v>0.99944846536932253</v>
      </c>
      <c r="AC6" s="11">
        <f t="shared" si="13"/>
        <v>0.49758973294793452</v>
      </c>
      <c r="AE6" s="1">
        <v>43356.5</v>
      </c>
    </row>
    <row r="7" spans="1:31" x14ac:dyDescent="0.25">
      <c r="A7" s="27" t="s">
        <v>21</v>
      </c>
      <c r="B7" s="24">
        <v>43364.459027488425</v>
      </c>
      <c r="C7" s="13">
        <v>43364.889583449076</v>
      </c>
      <c r="D7" s="14">
        <v>129.29</v>
      </c>
      <c r="E7" s="5">
        <v>1.62</v>
      </c>
      <c r="F7" s="5">
        <f t="shared" si="3"/>
        <v>2.0944980000000002</v>
      </c>
      <c r="G7" s="11">
        <f t="shared" si="0"/>
        <v>120.89999999999999</v>
      </c>
      <c r="H7" s="5">
        <f t="shared" si="14"/>
        <v>2.1632814983039079</v>
      </c>
      <c r="I7" s="15">
        <f t="shared" si="4"/>
        <v>10.333343055623118</v>
      </c>
      <c r="J7" s="10">
        <f t="shared" si="5"/>
        <v>1.6666666666666666E-2</v>
      </c>
      <c r="K7" s="11">
        <f>1-EXP(-$AE$3*I7)</f>
        <v>0.11010655135935654</v>
      </c>
      <c r="L7" s="5">
        <f t="shared" si="6"/>
        <v>1.7759104478042018E-4</v>
      </c>
      <c r="M7" s="11">
        <f>G7/((1+K7))</f>
        <v>108.9084645541048</v>
      </c>
      <c r="N7" s="5">
        <f t="shared" si="1"/>
        <v>1.9566161732847092</v>
      </c>
      <c r="O7" s="11">
        <f>M7*K7</f>
        <v>11.991535445895201</v>
      </c>
      <c r="P7" s="5">
        <f t="shared" si="2"/>
        <v>0.21630271044729338</v>
      </c>
      <c r="Q7" s="11">
        <f t="shared" si="7"/>
        <v>120.89999999999999</v>
      </c>
      <c r="R7" s="11">
        <v>0.80109999999999992</v>
      </c>
      <c r="S7" s="5">
        <v>1.4142135623730951E-4</v>
      </c>
      <c r="T7" s="11">
        <f>M7/R7</f>
        <v>135.94865129709751</v>
      </c>
      <c r="U7" s="5">
        <f t="shared" si="8"/>
        <v>2.4425298092422993</v>
      </c>
      <c r="V7" s="11">
        <f>SUM($T$2:T7)</f>
        <v>178.29466465887899</v>
      </c>
      <c r="W7" s="5">
        <f>SQRT((U7^2)+(U6^2)+(U5^2)+(U4^2)+(U3^2)+(U2^2))</f>
        <v>3.30216024998894</v>
      </c>
      <c r="X7" s="11">
        <f t="shared" si="9"/>
        <v>1.8151410759017466</v>
      </c>
      <c r="Y7" s="5">
        <f t="shared" si="10"/>
        <v>3.261026955474515E-2</v>
      </c>
      <c r="Z7" s="5">
        <f t="shared" si="11"/>
        <v>1.0634296804331385E-3</v>
      </c>
      <c r="AA7" s="11">
        <f>(C7-$AE$6)*24</f>
        <v>201.35000277782092</v>
      </c>
      <c r="AB7" s="16">
        <f t="shared" si="12"/>
        <v>0.99944695510580783</v>
      </c>
      <c r="AC7" s="11">
        <f t="shared" si="13"/>
        <v>1.816145485889828</v>
      </c>
    </row>
    <row r="8" spans="1:31" x14ac:dyDescent="0.25">
      <c r="A8" s="27" t="s">
        <v>22</v>
      </c>
      <c r="B8" s="24">
        <v>43364.459166319444</v>
      </c>
      <c r="C8" s="13">
        <v>43364.91250017361</v>
      </c>
      <c r="D8" s="14">
        <v>134.27000000000001</v>
      </c>
      <c r="E8" s="5">
        <v>1.59</v>
      </c>
      <c r="F8" s="5">
        <f t="shared" si="3"/>
        <v>2.1348930000000004</v>
      </c>
      <c r="G8" s="11">
        <f t="shared" si="0"/>
        <v>125.88000000000001</v>
      </c>
      <c r="H8" s="5">
        <f t="shared" si="14"/>
        <v>2.2024152856237174</v>
      </c>
      <c r="I8" s="15">
        <f t="shared" si="4"/>
        <v>10.880012499983422</v>
      </c>
      <c r="J8" s="10">
        <f t="shared" si="5"/>
        <v>1.6666666666666666E-2</v>
      </c>
      <c r="K8" s="11">
        <f>1-EXP(-$AE$3*I8)</f>
        <v>0.11558150557507441</v>
      </c>
      <c r="L8" s="5">
        <f t="shared" si="6"/>
        <v>1.7705479899532975E-4</v>
      </c>
      <c r="M8" s="11">
        <f>G8/((1+K8))</f>
        <v>112.83801261577007</v>
      </c>
      <c r="N8" s="5">
        <f t="shared" si="1"/>
        <v>1.9817832436503038</v>
      </c>
      <c r="O8" s="11">
        <f>M8*K8</f>
        <v>13.041987384229945</v>
      </c>
      <c r="P8" s="5">
        <f t="shared" si="2"/>
        <v>0.22992710827982646</v>
      </c>
      <c r="Q8" s="11">
        <f t="shared" si="7"/>
        <v>125.88000000000001</v>
      </c>
      <c r="R8" s="11">
        <v>0.80039999999999978</v>
      </c>
      <c r="S8" s="5">
        <v>1.4142135623730951E-4</v>
      </c>
      <c r="T8" s="11">
        <f>M8/R8</f>
        <v>140.9770272560846</v>
      </c>
      <c r="U8" s="5">
        <f t="shared" si="8"/>
        <v>2.4761163507838293</v>
      </c>
      <c r="V8" s="11">
        <f>SUM($T$2:T8)</f>
        <v>319.27169191496358</v>
      </c>
      <c r="W8" s="5">
        <f>SQRT((U8^2)+(U7^2)+(U6^2)+(U5^2)+(U4^2)+(U3^2)+(U2^2))</f>
        <v>4.1273980301427251</v>
      </c>
      <c r="X8" s="11">
        <f t="shared" si="9"/>
        <v>1.8806335435961679</v>
      </c>
      <c r="Y8" s="5">
        <f t="shared" si="10"/>
        <v>3.3029720727505062E-2</v>
      </c>
      <c r="Z8" s="5">
        <f t="shared" si="11"/>
        <v>1.0909624513369776E-3</v>
      </c>
      <c r="AA8" s="11">
        <f>(C8-$AE$6)*24</f>
        <v>201.90000416664407</v>
      </c>
      <c r="AB8" s="16">
        <f t="shared" si="12"/>
        <v>0.99944544484457565</v>
      </c>
      <c r="AC8" s="11">
        <f t="shared" si="13"/>
        <v>1.8816770372980451</v>
      </c>
      <c r="AE8" t="s">
        <v>14</v>
      </c>
    </row>
    <row r="9" spans="1:31" x14ac:dyDescent="0.25">
      <c r="A9" s="27" t="s">
        <v>23</v>
      </c>
      <c r="B9" s="24">
        <v>43364.459305150463</v>
      </c>
      <c r="C9" s="13">
        <v>43364.935416898152</v>
      </c>
      <c r="D9" s="14">
        <v>95.3</v>
      </c>
      <c r="E9" s="5">
        <v>1.89</v>
      </c>
      <c r="F9" s="5">
        <f t="shared" si="3"/>
        <v>1.8011699999999999</v>
      </c>
      <c r="G9" s="11">
        <f t="shared" si="0"/>
        <v>86.91</v>
      </c>
      <c r="H9" s="5">
        <f t="shared" si="14"/>
        <v>1.8807121889858638</v>
      </c>
      <c r="I9" s="15">
        <f t="shared" si="4"/>
        <v>11.42668194451835</v>
      </c>
      <c r="J9" s="10">
        <f t="shared" si="5"/>
        <v>1.6666666666666666E-2</v>
      </c>
      <c r="K9" s="11">
        <f>1-EXP(-$AE$3*I9)</f>
        <v>0.12102277584563226</v>
      </c>
      <c r="L9" s="5">
        <f t="shared" si="6"/>
        <v>1.7652073225521919E-4</v>
      </c>
      <c r="M9" s="11">
        <f>G9/((1+K9))</f>
        <v>77.527416813133271</v>
      </c>
      <c r="N9" s="5">
        <f t="shared" si="1"/>
        <v>1.6814818732407684</v>
      </c>
      <c r="O9" s="11">
        <f>M9*K9</f>
        <v>9.3825831868667287</v>
      </c>
      <c r="P9" s="5">
        <f t="shared" si="2"/>
        <v>0.20395724886891756</v>
      </c>
      <c r="Q9" s="11">
        <f t="shared" si="7"/>
        <v>86.91</v>
      </c>
      <c r="R9" s="11">
        <v>0.79819999999999958</v>
      </c>
      <c r="S9" s="5">
        <v>1.4142135623730951E-4</v>
      </c>
      <c r="T9" s="11">
        <f>M9/R9</f>
        <v>97.127808585734542</v>
      </c>
      <c r="U9" s="5">
        <f t="shared" si="8"/>
        <v>2.1066624611065832</v>
      </c>
      <c r="V9" s="11">
        <f>SUM($T$2:T9)</f>
        <v>416.39950050069814</v>
      </c>
      <c r="W9" s="5">
        <f>SQRT((U9^2)+(U8^2)+(U7^2)+(U6^2)+(U5^2)+(U4^2)+(U3^2)+(U2^2))</f>
        <v>4.6339444563203056</v>
      </c>
      <c r="X9" s="11">
        <f t="shared" si="9"/>
        <v>1.2921236135522212</v>
      </c>
      <c r="Y9" s="5">
        <f t="shared" si="10"/>
        <v>2.8024697887346139E-2</v>
      </c>
      <c r="Z9" s="5">
        <f t="shared" si="11"/>
        <v>7.8538369167702312E-4</v>
      </c>
      <c r="AA9" s="11">
        <f>(C9-$AE$6)*24</f>
        <v>202.45000555564184</v>
      </c>
      <c r="AB9" s="16">
        <f t="shared" si="12"/>
        <v>0.99944393458562519</v>
      </c>
      <c r="AC9" s="11">
        <f t="shared" si="13"/>
        <v>1.2928425185630272</v>
      </c>
      <c r="AE9">
        <f>LN(2)/252288</f>
        <v>2.7474441137110973E-6</v>
      </c>
    </row>
    <row r="10" spans="1:31" x14ac:dyDescent="0.25">
      <c r="A10" s="27" t="s">
        <v>24</v>
      </c>
      <c r="B10" s="24">
        <v>43364.459443981483</v>
      </c>
      <c r="C10" s="13">
        <v>43364.958333622686</v>
      </c>
      <c r="D10" s="14">
        <v>58.75</v>
      </c>
      <c r="E10" s="5">
        <v>2.41</v>
      </c>
      <c r="F10" s="5">
        <f t="shared" si="3"/>
        <v>1.415875</v>
      </c>
      <c r="G10" s="11">
        <f t="shared" si="0"/>
        <v>50.36</v>
      </c>
      <c r="H10" s="5">
        <f t="shared" si="14"/>
        <v>1.5157727351173065</v>
      </c>
      <c r="I10" s="15">
        <f t="shared" si="4"/>
        <v>11.973351388878655</v>
      </c>
      <c r="J10" s="10">
        <f t="shared" si="5"/>
        <v>1.6666666666666666E-2</v>
      </c>
      <c r="K10" s="11">
        <f>1-EXP(-$AE$3*I10)</f>
        <v>0.12643056940367559</v>
      </c>
      <c r="L10" s="5">
        <f t="shared" si="6"/>
        <v>1.7598883456182194E-4</v>
      </c>
      <c r="M10" s="11">
        <f>G10/((1+K10))</f>
        <v>44.707593497449409</v>
      </c>
      <c r="N10" s="5">
        <f t="shared" si="1"/>
        <v>1.3470806587114137</v>
      </c>
      <c r="O10" s="11">
        <f>M10*K10</f>
        <v>5.6524065025505932</v>
      </c>
      <c r="P10" s="5">
        <f t="shared" si="2"/>
        <v>0.17049382061011623</v>
      </c>
      <c r="Q10" s="11">
        <f t="shared" si="7"/>
        <v>50.36</v>
      </c>
      <c r="R10" s="11">
        <v>0.76480000000000015</v>
      </c>
      <c r="S10" s="5">
        <v>1.4142135623730951E-4</v>
      </c>
      <c r="T10" s="11">
        <f>M10/R10</f>
        <v>58.45658145587003</v>
      </c>
      <c r="U10" s="5">
        <f t="shared" si="8"/>
        <v>1.761383401821591</v>
      </c>
      <c r="V10" s="11">
        <f>SUM($T$2:T10)</f>
        <v>474.85608195656818</v>
      </c>
      <c r="W10" s="5">
        <f>SQRT((U10^2)+(U9^2)+(U8^2)+(U7^2)+(U6^2)+(U5^2)+(U4^2)+(U3^2)+(U2^2))</f>
        <v>4.9574098794102444</v>
      </c>
      <c r="X10" s="11">
        <f t="shared" si="9"/>
        <v>0.74512655829082353</v>
      </c>
      <c r="Y10" s="5">
        <f t="shared" si="10"/>
        <v>2.2451344311856896E-2</v>
      </c>
      <c r="Z10" s="5">
        <f t="shared" si="11"/>
        <v>5.0406286140954905E-4</v>
      </c>
      <c r="AA10" s="11">
        <f>(C10-$AE$6)*24</f>
        <v>203.00000694446499</v>
      </c>
      <c r="AB10" s="16">
        <f t="shared" si="12"/>
        <v>0.99944242432895747</v>
      </c>
      <c r="AC10" s="11">
        <f t="shared" si="13"/>
        <v>0.74554225451367451</v>
      </c>
    </row>
    <row r="11" spans="1:31" x14ac:dyDescent="0.25">
      <c r="A11" s="27" t="s">
        <v>25</v>
      </c>
      <c r="B11" s="24">
        <v>43364.459582812502</v>
      </c>
      <c r="C11" s="13">
        <v>43364.98125034722</v>
      </c>
      <c r="D11" s="14">
        <v>38.04</v>
      </c>
      <c r="E11" s="5">
        <v>2.99</v>
      </c>
      <c r="F11" s="5">
        <f t="shared" si="3"/>
        <v>1.1373960000000001</v>
      </c>
      <c r="G11" s="11">
        <f t="shared" si="0"/>
        <v>29.65</v>
      </c>
      <c r="H11" s="5">
        <f t="shared" si="14"/>
        <v>1.2595771630654471</v>
      </c>
      <c r="I11" s="15">
        <f t="shared" si="4"/>
        <v>12.520020833238959</v>
      </c>
      <c r="J11" s="10">
        <f t="shared" si="5"/>
        <v>1.6666666666666666E-2</v>
      </c>
      <c r="K11" s="11">
        <f>1-EXP(-$AE$3*I11)</f>
        <v>0.13180509221207637</v>
      </c>
      <c r="L11" s="5">
        <f t="shared" si="6"/>
        <v>1.7545909596538862E-4</v>
      </c>
      <c r="M11" s="11">
        <f>G11/((1+K11))</f>
        <v>26.19709012092359</v>
      </c>
      <c r="N11" s="5">
        <f t="shared" si="1"/>
        <v>1.1134385574425367</v>
      </c>
      <c r="O11" s="11">
        <f>M11*K11</f>
        <v>3.4529098790764086</v>
      </c>
      <c r="P11" s="5">
        <f t="shared" si="2"/>
        <v>0.14682883700831995</v>
      </c>
      <c r="Q11" s="11">
        <f t="shared" si="7"/>
        <v>29.65</v>
      </c>
      <c r="R11" s="11">
        <v>0.84849999999999959</v>
      </c>
      <c r="S11" s="5">
        <v>1.4142135623730951E-4</v>
      </c>
      <c r="T11" s="11">
        <f>M11/R11</f>
        <v>30.874590596256457</v>
      </c>
      <c r="U11" s="5">
        <f t="shared" si="8"/>
        <v>1.3122535281549812</v>
      </c>
      <c r="V11" s="11">
        <f>SUM($T$2:T11)</f>
        <v>505.73067255282461</v>
      </c>
      <c r="W11" s="5">
        <f>SQRT((U11^2)+(U10^2)+(U9^2)+(U8^2)+(U7^2)+(U6^2)+(U5^2)+(U4^2)+(U3^2)+(U2^2))</f>
        <v>5.1281499621822189</v>
      </c>
      <c r="X11" s="11">
        <f t="shared" si="9"/>
        <v>0.43661816868205983</v>
      </c>
      <c r="Y11" s="5">
        <f t="shared" si="10"/>
        <v>1.8557309290708944E-2</v>
      </c>
      <c r="Z11" s="5">
        <f t="shared" si="11"/>
        <v>3.4437372811103249E-4</v>
      </c>
      <c r="AA11" s="11">
        <f>(C11-$AE$6)*24</f>
        <v>203.55000833328813</v>
      </c>
      <c r="AB11" s="16">
        <f t="shared" si="12"/>
        <v>0.99944091407457181</v>
      </c>
      <c r="AC11" s="11">
        <f t="shared" si="13"/>
        <v>0.43686241230812989</v>
      </c>
    </row>
    <row r="12" spans="1:31" x14ac:dyDescent="0.25">
      <c r="A12" s="27" t="s">
        <v>26</v>
      </c>
      <c r="B12" s="24">
        <v>43364.459721643521</v>
      </c>
      <c r="C12" s="13">
        <v>43365.00277777778</v>
      </c>
      <c r="D12" s="14">
        <v>23.33</v>
      </c>
      <c r="E12" s="5">
        <v>3.82</v>
      </c>
      <c r="F12" s="5">
        <f t="shared" si="3"/>
        <v>0.89120599999999983</v>
      </c>
      <c r="G12" s="11">
        <f t="shared" si="0"/>
        <v>14.939999999999998</v>
      </c>
      <c r="H12" s="5">
        <f t="shared" si="14"/>
        <v>1.0426471614769781</v>
      </c>
      <c r="I12" s="15">
        <f t="shared" si="4"/>
        <v>13.033347222197335</v>
      </c>
      <c r="J12" s="10">
        <f t="shared" si="5"/>
        <v>1.6666666666666666E-2</v>
      </c>
      <c r="K12" s="11">
        <f>1-EXP(-$AE$3*I12)</f>
        <v>0.13682170016723239</v>
      </c>
      <c r="L12" s="5">
        <f t="shared" si="6"/>
        <v>1.74963624506999E-4</v>
      </c>
      <c r="M12" s="11">
        <f>G12/((1+K12))</f>
        <v>13.141902549715795</v>
      </c>
      <c r="N12" s="5">
        <f t="shared" si="1"/>
        <v>0.91731375238445756</v>
      </c>
      <c r="O12" s="11">
        <f>M12*K12</f>
        <v>1.7980974502842013</v>
      </c>
      <c r="P12" s="5">
        <f t="shared" si="2"/>
        <v>0.1255294878830541</v>
      </c>
      <c r="Q12" s="11">
        <f t="shared" si="7"/>
        <v>14.939999999999996</v>
      </c>
      <c r="R12" s="11">
        <v>0.79549999999999965</v>
      </c>
      <c r="S12" s="5">
        <v>1.4142135623730951E-4</v>
      </c>
      <c r="T12" s="11">
        <f>M12/R12</f>
        <v>16.520304902219735</v>
      </c>
      <c r="U12" s="5">
        <f t="shared" si="8"/>
        <v>1.1531322785589655</v>
      </c>
      <c r="V12" s="11">
        <f>SUM($T$2:T12)</f>
        <v>522.25097745504434</v>
      </c>
      <c r="W12" s="5">
        <f>SQRT((U12^2)+(U11^2)+(U10^2)+(U9^2)+(U8^2)+(U7^2)+(U6^2)+(U5^2)+(U4^2)+(U3^2)+(U2^2))</f>
        <v>5.2561997761200132</v>
      </c>
      <c r="X12" s="11">
        <f t="shared" si="9"/>
        <v>0.21903170916192991</v>
      </c>
      <c r="Y12" s="5">
        <f t="shared" si="10"/>
        <v>1.5288562539740959E-2</v>
      </c>
      <c r="Z12" s="5">
        <f t="shared" si="11"/>
        <v>2.3374014453157052E-4</v>
      </c>
      <c r="AA12" s="11">
        <f>(C12-$AE$6)*24</f>
        <v>204.06666666670935</v>
      </c>
      <c r="AB12" s="16">
        <f t="shared" si="12"/>
        <v>0.99943949537929855</v>
      </c>
      <c r="AC12" s="11">
        <f t="shared" si="13"/>
        <v>0.21915454629777753</v>
      </c>
    </row>
    <row r="13" spans="1:31" x14ac:dyDescent="0.25">
      <c r="A13" s="27" t="s">
        <v>27</v>
      </c>
      <c r="B13" s="24">
        <v>43364.459860474541</v>
      </c>
      <c r="C13" s="13">
        <v>43365.025694444441</v>
      </c>
      <c r="D13" s="14">
        <v>17.059999999999999</v>
      </c>
      <c r="E13" s="5">
        <v>4.47</v>
      </c>
      <c r="F13" s="5">
        <f t="shared" si="3"/>
        <v>0.76258199999999987</v>
      </c>
      <c r="G13" s="11">
        <f t="shared" si="0"/>
        <v>8.6699999999999982</v>
      </c>
      <c r="H13" s="5">
        <f t="shared" si="14"/>
        <v>0.93509158675714743</v>
      </c>
      <c r="I13" s="15">
        <f t="shared" si="4"/>
        <v>13.580015277606435</v>
      </c>
      <c r="J13" s="10">
        <f t="shared" si="5"/>
        <v>1.6666666666666666E-2</v>
      </c>
      <c r="K13" s="11">
        <f>1-EXP(-$AE$3*I13)</f>
        <v>0.14213227943779205</v>
      </c>
      <c r="L13" s="5">
        <f t="shared" si="6"/>
        <v>1.7443804557933676E-4</v>
      </c>
      <c r="M13" s="11">
        <f>G13/((1+K13))</f>
        <v>7.5910646744593846</v>
      </c>
      <c r="N13" s="5">
        <f t="shared" si="1"/>
        <v>0.81877742432666256</v>
      </c>
      <c r="O13" s="11">
        <f>M13*K13</f>
        <v>1.0789353255406131</v>
      </c>
      <c r="P13" s="5">
        <f t="shared" si="2"/>
        <v>0.11638223497022479</v>
      </c>
      <c r="Q13" s="11">
        <f t="shared" si="7"/>
        <v>8.6699999999999982</v>
      </c>
      <c r="R13" s="11">
        <v>0.81460000000000043</v>
      </c>
      <c r="S13" s="5">
        <v>1.4142135623730951E-4</v>
      </c>
      <c r="T13" s="11">
        <f>M13/R13</f>
        <v>9.3187634108266391</v>
      </c>
      <c r="U13" s="5">
        <f t="shared" si="8"/>
        <v>1.0051294929090975</v>
      </c>
      <c r="V13" s="11">
        <f>SUM($T$2:T13)</f>
        <v>531.56974086587093</v>
      </c>
      <c r="W13" s="5">
        <f>SQRT((U13^2)+(U12^2)+(U11^2)+(U10^2)+(U9^2)+(U8^2)+(U7^2)+(U6^2)+(U5^2)+(U4^2)+(U3^2)+(U2^2))</f>
        <v>5.3514410567621669</v>
      </c>
      <c r="X13" s="11">
        <f t="shared" si="9"/>
        <v>0.12651774457432308</v>
      </c>
      <c r="Y13" s="5">
        <f t="shared" si="10"/>
        <v>1.3646290405444376E-2</v>
      </c>
      <c r="Z13" s="5">
        <f t="shared" si="11"/>
        <v>1.8622124182972324E-4</v>
      </c>
      <c r="AA13" s="11">
        <f>(C13-$AE$6)*24</f>
        <v>204.6166666665813</v>
      </c>
      <c r="AB13" s="16">
        <f t="shared" si="12"/>
        <v>0.99943798513315274</v>
      </c>
      <c r="AC13" s="11">
        <f t="shared" si="13"/>
        <v>0.12658888941215038</v>
      </c>
    </row>
    <row r="14" spans="1:31" x14ac:dyDescent="0.25">
      <c r="A14" s="27" t="s">
        <v>28</v>
      </c>
      <c r="B14" s="24">
        <v>43364.459999305553</v>
      </c>
      <c r="C14" s="13">
        <v>43365.048610995371</v>
      </c>
      <c r="D14" s="14">
        <v>12.82</v>
      </c>
      <c r="E14" s="5">
        <v>5.16</v>
      </c>
      <c r="F14" s="5">
        <f t="shared" si="3"/>
        <v>0.66151199999999999</v>
      </c>
      <c r="G14" s="11">
        <f t="shared" si="0"/>
        <v>4.43</v>
      </c>
      <c r="H14" s="5">
        <f t="shared" si="14"/>
        <v>0.85467133744147528</v>
      </c>
      <c r="I14" s="15">
        <f t="shared" si="4"/>
        <v>14.126680555636995</v>
      </c>
      <c r="J14" s="10">
        <f t="shared" si="5"/>
        <v>1.6666666666666666E-2</v>
      </c>
      <c r="K14" s="11">
        <f>1-EXP(-$AE$3*I14)</f>
        <v>0.14741015940772939</v>
      </c>
      <c r="L14" s="5">
        <f t="shared" si="6"/>
        <v>1.7391459943139065E-4</v>
      </c>
      <c r="M14" s="11">
        <f>G14/((1+K14))</f>
        <v>3.8608687256932415</v>
      </c>
      <c r="N14" s="5">
        <f t="shared" si="1"/>
        <v>0.74488386822784169</v>
      </c>
      <c r="O14" s="11">
        <f>M14*K14</f>
        <v>0.56913127430675781</v>
      </c>
      <c r="P14" s="5">
        <f t="shared" si="2"/>
        <v>0.1098055027706617</v>
      </c>
      <c r="Q14" s="11">
        <f t="shared" si="7"/>
        <v>4.43</v>
      </c>
      <c r="R14" s="11">
        <v>0.72789999999999999</v>
      </c>
      <c r="S14" s="5">
        <v>1.4142135623730951E-4</v>
      </c>
      <c r="T14" s="11">
        <f>M14/R14</f>
        <v>5.3041196945916216</v>
      </c>
      <c r="U14" s="5">
        <f t="shared" si="8"/>
        <v>1.0233332132435593</v>
      </c>
      <c r="V14" s="11">
        <f>SUM($T$2:T14)</f>
        <v>536.8738605604625</v>
      </c>
      <c r="W14" s="5">
        <f>SQRT((U14^2)+(U13^2)+(U12^2)+(U11^2)+(U10^2)+(U9^2)+(U8^2)+(U7^2)+(U6^2)+(U5^2)+(U4^2)+(U3^2)+(U2^2))</f>
        <v>5.4484063953900472</v>
      </c>
      <c r="X14" s="11">
        <f t="shared" si="9"/>
        <v>6.4347812094887352E-2</v>
      </c>
      <c r="Y14" s="5">
        <f t="shared" si="10"/>
        <v>1.2414731137130694E-2</v>
      </c>
      <c r="Z14" s="5">
        <f t="shared" si="11"/>
        <v>1.5412554920724237E-4</v>
      </c>
      <c r="AA14" s="11">
        <f>(C14-$AE$6)*24</f>
        <v>205.16666388890008</v>
      </c>
      <c r="AB14" s="16">
        <f t="shared" si="12"/>
        <v>0.99943647489691589</v>
      </c>
      <c r="AC14" s="11">
        <f t="shared" si="13"/>
        <v>6.438409414817918E-2</v>
      </c>
    </row>
    <row r="15" spans="1:31" x14ac:dyDescent="0.25">
      <c r="A15" s="27" t="s">
        <v>29</v>
      </c>
      <c r="B15" s="24">
        <v>43364.460138136572</v>
      </c>
      <c r="C15" s="13">
        <v>43365.071527604166</v>
      </c>
      <c r="D15" s="14">
        <v>11.6</v>
      </c>
      <c r="E15" s="5">
        <v>5.42</v>
      </c>
      <c r="F15" s="5">
        <f t="shared" si="3"/>
        <v>0.62871999999999995</v>
      </c>
      <c r="G15" s="11">
        <f t="shared" si="0"/>
        <v>3.2099999999999991</v>
      </c>
      <c r="H15" s="5">
        <f t="shared" si="14"/>
        <v>0.82955036453490871</v>
      </c>
      <c r="I15" s="15">
        <f t="shared" si="4"/>
        <v>14.673347222269513</v>
      </c>
      <c r="J15" s="10">
        <f t="shared" si="5"/>
        <v>1.6666666666666666E-2</v>
      </c>
      <c r="K15" s="11">
        <f>1-EXP(-$AE$3*I15)</f>
        <v>0.15265558143422431</v>
      </c>
      <c r="L15" s="5">
        <f t="shared" si="6"/>
        <v>1.7339327230729069E-4</v>
      </c>
      <c r="M15" s="11">
        <f>G15/((1+K15))</f>
        <v>2.7848735144333974</v>
      </c>
      <c r="N15" s="5">
        <f t="shared" si="1"/>
        <v>0.71969319414441646</v>
      </c>
      <c r="O15" s="11">
        <f>M15*K15</f>
        <v>0.42512648556660193</v>
      </c>
      <c r="P15" s="5">
        <f t="shared" si="2"/>
        <v>0.10986624417220388</v>
      </c>
      <c r="Q15" s="11">
        <f t="shared" si="7"/>
        <v>3.2099999999999991</v>
      </c>
      <c r="R15" s="11">
        <v>0.85659999999999936</v>
      </c>
      <c r="S15" s="5">
        <v>1.4142135623730951E-4</v>
      </c>
      <c r="T15" s="11">
        <f>M15/R15</f>
        <v>3.2510781163126308</v>
      </c>
      <c r="U15" s="5">
        <f t="shared" si="8"/>
        <v>0.84017434158967719</v>
      </c>
      <c r="V15" s="11">
        <f>SUM($T$2:T15)</f>
        <v>540.12493867677517</v>
      </c>
      <c r="W15" s="5">
        <f>SQRT((U15^2)+(U14^2)+(U13^2)+(U12^2)+(U11^2)+(U10^2)+(U9^2)+(U8^2)+(U7^2)+(U6^2)+(U5^2)+(U4^2)+(U3^2)+(U2^2))</f>
        <v>5.5128055628321242</v>
      </c>
      <c r="X15" s="11">
        <f t="shared" si="9"/>
        <v>4.6414558573889958E-2</v>
      </c>
      <c r="Y15" s="5">
        <f t="shared" si="10"/>
        <v>1.1994886569073609E-2</v>
      </c>
      <c r="Z15" s="5">
        <f t="shared" si="11"/>
        <v>1.4387730380494246E-4</v>
      </c>
      <c r="AA15" s="11">
        <f>(C15-$AE$6)*24</f>
        <v>205.71666249999544</v>
      </c>
      <c r="AB15" s="16">
        <f t="shared" si="12"/>
        <v>0.99943496465914783</v>
      </c>
      <c r="AC15" s="11">
        <f t="shared" si="13"/>
        <v>4.6440799266733085E-2</v>
      </c>
    </row>
    <row r="16" spans="1:31" x14ac:dyDescent="0.25">
      <c r="A16" s="27" t="s">
        <v>30</v>
      </c>
      <c r="B16" s="24">
        <v>43364.460276967591</v>
      </c>
      <c r="C16" s="13">
        <v>43365.094444212962</v>
      </c>
      <c r="D16" s="14">
        <v>10.54</v>
      </c>
      <c r="E16" s="5">
        <v>5.69</v>
      </c>
      <c r="F16" s="5">
        <f t="shared" si="3"/>
        <v>0.59972599999999998</v>
      </c>
      <c r="G16" s="11">
        <f t="shared" si="0"/>
        <v>2.1499999999999986</v>
      </c>
      <c r="H16" s="5">
        <f t="shared" si="14"/>
        <v>0.80779715521658035</v>
      </c>
      <c r="I16" s="15">
        <f t="shared" si="4"/>
        <v>15.220013888902031</v>
      </c>
      <c r="J16" s="10">
        <f t="shared" si="5"/>
        <v>1.6666666666666666E-2</v>
      </c>
      <c r="K16" s="11">
        <f>1-EXP(-$AE$3*I16)</f>
        <v>0.15786873184437333</v>
      </c>
      <c r="L16" s="5">
        <f t="shared" si="6"/>
        <v>1.7287405582843169E-4</v>
      </c>
      <c r="M16" s="11">
        <f>G16/((1+K16))</f>
        <v>1.8568598847774875</v>
      </c>
      <c r="N16" s="5">
        <f t="shared" si="1"/>
        <v>0.69766162944371413</v>
      </c>
      <c r="O16" s="11">
        <f>M16*K16</f>
        <v>0.29314011522251116</v>
      </c>
      <c r="P16" s="5">
        <f t="shared" si="2"/>
        <v>0.11013942448148077</v>
      </c>
      <c r="Q16" s="11">
        <f t="shared" si="7"/>
        <v>2.1499999999999986</v>
      </c>
      <c r="R16" s="11">
        <v>0.75689999999999991</v>
      </c>
      <c r="S16" s="5">
        <v>1.4142135623730951E-4</v>
      </c>
      <c r="T16" s="11">
        <f>M16/R16</f>
        <v>2.4532433409664258</v>
      </c>
      <c r="U16" s="5">
        <f t="shared" si="8"/>
        <v>0.92173565293838677</v>
      </c>
      <c r="V16" s="11">
        <f>SUM($T$2:T16)</f>
        <v>542.5781820177416</v>
      </c>
      <c r="W16" s="5">
        <f>SQRT((U16^2)+(U15^2)+(U14^2)+(U13^2)+(U12^2)+(U11^2)+(U10^2)+(U9^2)+(U8^2)+(U7^2)+(U6^2)+(U5^2)+(U4^2)+(U3^2)+(U2^2))</f>
        <v>5.5893310679803685</v>
      </c>
      <c r="X16" s="11">
        <f t="shared" si="9"/>
        <v>3.0947664746291459E-2</v>
      </c>
      <c r="Y16" s="5">
        <f t="shared" si="10"/>
        <v>1.1627693824061902E-2</v>
      </c>
      <c r="Z16" s="5">
        <f t="shared" si="11"/>
        <v>1.3520326366612729E-4</v>
      </c>
      <c r="AA16" s="11">
        <f>(C16-$AE$6)*24</f>
        <v>206.2666611110908</v>
      </c>
      <c r="AB16" s="16">
        <f t="shared" si="12"/>
        <v>0.99943345442366172</v>
      </c>
      <c r="AC16" s="11">
        <f t="shared" si="13"/>
        <v>3.0965207947874721E-2</v>
      </c>
    </row>
    <row r="17" spans="1:29" x14ac:dyDescent="0.25">
      <c r="A17" s="27" t="s">
        <v>31</v>
      </c>
      <c r="B17" s="24">
        <v>43364.46041579861</v>
      </c>
      <c r="C17" s="13">
        <v>43365.117360821758</v>
      </c>
      <c r="D17" s="14">
        <v>8.59</v>
      </c>
      <c r="E17" s="5">
        <v>6.3</v>
      </c>
      <c r="F17" s="5">
        <f t="shared" si="3"/>
        <v>0.54117000000000004</v>
      </c>
      <c r="G17" s="11">
        <f t="shared" si="0"/>
        <v>0.19999999999999929</v>
      </c>
      <c r="H17" s="5">
        <f t="shared" si="14"/>
        <v>0.76532995354944788</v>
      </c>
      <c r="I17" s="15">
        <f>(C17-B17)*24</f>
        <v>15.766680555534549</v>
      </c>
      <c r="J17" s="10">
        <f t="shared" si="5"/>
        <v>1.6666666666666666E-2</v>
      </c>
      <c r="K17" s="11">
        <f>1-EXP(-$AE$3*I17)</f>
        <v>0.16304980918411149</v>
      </c>
      <c r="L17" s="5">
        <f t="shared" si="6"/>
        <v>1.7235694033144303E-4</v>
      </c>
      <c r="M17" s="11">
        <f>G17/((1+K17))</f>
        <v>0.17196168076438692</v>
      </c>
      <c r="N17" s="5">
        <f t="shared" si="1"/>
        <v>0.65803715086576342</v>
      </c>
      <c r="O17" s="11">
        <f>M17*K17</f>
        <v>2.8038319235612383E-2</v>
      </c>
      <c r="P17" s="5">
        <f t="shared" si="2"/>
        <v>0.10729283597845861</v>
      </c>
      <c r="Q17" s="11">
        <f t="shared" si="7"/>
        <v>0.19999999999999929</v>
      </c>
      <c r="R17" s="11">
        <v>0.76019999999999932</v>
      </c>
      <c r="S17" s="5">
        <v>1.4142135623731E-4</v>
      </c>
      <c r="T17" s="11">
        <f>M17/R17</f>
        <v>0.22620584157377938</v>
      </c>
      <c r="U17" s="5">
        <f t="shared" si="8"/>
        <v>0.86561056517148871</v>
      </c>
      <c r="V17" s="11">
        <f>SUM($T$2:T17)</f>
        <v>542.8043878593154</v>
      </c>
      <c r="W17" s="5">
        <f>SQRT((U17^2)+(U16^2)+(U15^2)+(U14^2)+(U13^2)+(U12^2)+(U11^2)+(U10^2)+(U9^2)+(U8^2)+(U7^2)+(U6^2)+(U5^2)+(U4^2)+(U3^2)+(U2^2))</f>
        <v>5.6559617606581352</v>
      </c>
      <c r="X17" s="11">
        <f t="shared" si="9"/>
        <v>2.866028012739782E-3</v>
      </c>
      <c r="Y17" s="5">
        <f>X17*SQRT(((N17/M17)^2))</f>
        <v>1.0967285847762723E-2</v>
      </c>
      <c r="Z17" s="5">
        <f>Y17^2</f>
        <v>1.2028135886653651E-4</v>
      </c>
      <c r="AA17" s="11">
        <f>(C17-$AE$6)*24</f>
        <v>206.81665972218616</v>
      </c>
      <c r="AB17" s="16">
        <f t="shared" si="12"/>
        <v>0.99943194419045778</v>
      </c>
      <c r="AC17" s="11">
        <f t="shared" si="13"/>
        <v>2.8676570019595194E-3</v>
      </c>
    </row>
    <row r="18" spans="1:29" x14ac:dyDescent="0.25">
      <c r="A18" s="27" t="s">
        <v>32</v>
      </c>
      <c r="B18" s="24">
        <v>43364.46055462963</v>
      </c>
      <c r="C18" s="13">
        <v>43365.140277430553</v>
      </c>
      <c r="D18" s="14">
        <v>8.08</v>
      </c>
      <c r="E18" s="5">
        <v>6.5</v>
      </c>
      <c r="F18" s="5">
        <f>D18*(E18/100)</f>
        <v>0.5252</v>
      </c>
      <c r="G18" s="11">
        <f t="shared" si="0"/>
        <v>-0.3100000000000005</v>
      </c>
      <c r="H18" s="5">
        <f>SQRT((F18^2)+(F$17^2))</f>
        <v>0.75412201194501682</v>
      </c>
      <c r="I18" s="15">
        <f t="shared" si="4"/>
        <v>16.313347222167067</v>
      </c>
      <c r="J18" s="10">
        <f t="shared" si="5"/>
        <v>1.6666666666666666E-2</v>
      </c>
      <c r="K18" s="11">
        <f>1-EXP(-$AE$3*I18)</f>
        <v>0.16819901077785215</v>
      </c>
      <c r="L18" s="5">
        <f t="shared" si="6"/>
        <v>1.718419162002697E-4</v>
      </c>
      <c r="M18" s="11">
        <f>G18/((1+K18))</f>
        <v>-0.26536574431233695</v>
      </c>
      <c r="N18" s="5">
        <f t="shared" si="1"/>
        <v>-0.64554247306649171</v>
      </c>
      <c r="O18" s="11">
        <f>M18*K18</f>
        <v>-4.4634255687663521E-2</v>
      </c>
      <c r="P18" s="5">
        <f t="shared" si="2"/>
        <v>-0.10857961496055293</v>
      </c>
      <c r="Q18" s="11">
        <f t="shared" si="7"/>
        <v>-0.3100000000000005</v>
      </c>
      <c r="R18" s="11">
        <v>0.71659999999999968</v>
      </c>
      <c r="S18" s="5">
        <v>1.4142135623731E-4</v>
      </c>
      <c r="T18" s="11">
        <f>M18/R18</f>
        <v>-0.37031223041074107</v>
      </c>
      <c r="U18" s="5">
        <f t="shared" si="8"/>
        <v>-0.90084074126537772</v>
      </c>
      <c r="V18" s="11">
        <f>SUM($T$2:T18)</f>
        <v>542.43407562890468</v>
      </c>
      <c r="W18" s="5">
        <f>SQRT((U18^2)+(U17^2)+(U16^2)+(U15^2)+(U14^2)+(U13^2)+(U12^2)+(U11^2)+(U10^2)+(U9^2)+(U8^2)+(U7^2)+(U6^2)+(U5^2)+(U4^2)+(U3^2)+(U2^2))</f>
        <v>5.727252175271369</v>
      </c>
      <c r="X18" s="11">
        <f t="shared" si="9"/>
        <v>-4.4227624052056158E-3</v>
      </c>
      <c r="Y18" s="5">
        <f t="shared" ref="Y18:Y22" si="15">X18*SQRT(((N18/M18)^2))</f>
        <v>-1.0759041217774861E-2</v>
      </c>
      <c r="Z18" s="5">
        <f t="shared" ref="Z18:Z22" si="16">Y18^2</f>
        <v>1.1575696792577837E-4</v>
      </c>
      <c r="AA18" s="11">
        <f>(C18-$AE$6)*24</f>
        <v>207.36665833328152</v>
      </c>
      <c r="AB18" s="16">
        <f t="shared" si="12"/>
        <v>0.9994304339595359</v>
      </c>
      <c r="AC18" s="11">
        <f t="shared" si="13"/>
        <v>-4.4252828960626598E-3</v>
      </c>
    </row>
    <row r="19" spans="1:29" x14ac:dyDescent="0.25">
      <c r="A19" s="27" t="s">
        <v>33</v>
      </c>
      <c r="B19" s="24">
        <v>43364.460693460649</v>
      </c>
      <c r="C19" s="13">
        <v>43365.163194039349</v>
      </c>
      <c r="D19" s="14">
        <v>8.08</v>
      </c>
      <c r="E19" s="5">
        <v>6.5</v>
      </c>
      <c r="F19" s="5">
        <f t="shared" si="3"/>
        <v>0.5252</v>
      </c>
      <c r="G19" s="11">
        <f t="shared" si="0"/>
        <v>-0.3100000000000005</v>
      </c>
      <c r="H19" s="5">
        <f>SQRT((F19^2)+(F$17^2))</f>
        <v>0.75412201194501682</v>
      </c>
      <c r="I19" s="15">
        <f t="shared" si="4"/>
        <v>16.860013888799585</v>
      </c>
      <c r="J19" s="10">
        <f t="shared" si="5"/>
        <v>1.6666666666666666E-2</v>
      </c>
      <c r="K19" s="11">
        <f>1-EXP(-$AE$3*I19)</f>
        <v>0.17331653273600167</v>
      </c>
      <c r="L19" s="5">
        <f t="shared" si="6"/>
        <v>1.7132897386593003E-4</v>
      </c>
      <c r="M19" s="11">
        <f>G19/((1+K19))</f>
        <v>-0.26420832857193793</v>
      </c>
      <c r="N19" s="5">
        <f t="shared" si="1"/>
        <v>-0.64272687988977395</v>
      </c>
      <c r="O19" s="11">
        <f>M19*K19</f>
        <v>-4.5791671428062564E-2</v>
      </c>
      <c r="P19" s="5">
        <f t="shared" si="2"/>
        <v>-0.11139520351597791</v>
      </c>
      <c r="Q19" s="11">
        <f t="shared" si="7"/>
        <v>-0.3100000000000005</v>
      </c>
      <c r="R19" s="11">
        <v>0.70369999999999955</v>
      </c>
      <c r="S19" s="5">
        <v>1.4142135623731E-4</v>
      </c>
      <c r="T19" s="11">
        <f>M19/R19</f>
        <v>-0.37545591668599987</v>
      </c>
      <c r="U19" s="5">
        <f t="shared" si="8"/>
        <v>-0.91335353429450217</v>
      </c>
      <c r="V19" s="11">
        <f>SUM($T$2:T19)</f>
        <v>542.05861971221873</v>
      </c>
      <c r="W19" s="5">
        <f>SQRT((U19^2)+(U18^2)+(U17^2)+(U16^2)+(U15^2)+(U14^2)+(U13^2)+(U12^2)+(U11^2)+(U10^2)+(U9^2)+(U8^2)+(U7^2)+(U6^2)+(U5^2)+(U4^2)+(U3^2)+(U2^2))</f>
        <v>5.7996234496524757</v>
      </c>
      <c r="X19" s="11">
        <f t="shared" si="9"/>
        <v>-4.4034721428656319E-3</v>
      </c>
      <c r="Y19" s="5">
        <f t="shared" si="15"/>
        <v>-1.0712114664829565E-2</v>
      </c>
      <c r="Z19" s="5">
        <f t="shared" si="16"/>
        <v>1.1474940059245662E-4</v>
      </c>
      <c r="AA19" s="11">
        <f>(C19-$AE$6)*24</f>
        <v>207.91665694437688</v>
      </c>
      <c r="AB19" s="16">
        <f t="shared" si="12"/>
        <v>0.9994289237308962</v>
      </c>
      <c r="AC19" s="11">
        <f t="shared" si="13"/>
        <v>-4.4059882982246971E-3</v>
      </c>
    </row>
    <row r="20" spans="1:29" x14ac:dyDescent="0.25">
      <c r="A20" s="27" t="s">
        <v>34</v>
      </c>
      <c r="B20" s="24">
        <v>43364.460832291668</v>
      </c>
      <c r="C20" s="13">
        <v>43365.186110648145</v>
      </c>
      <c r="D20" s="14">
        <v>8.35</v>
      </c>
      <c r="E20" s="5">
        <v>6.39</v>
      </c>
      <c r="F20" s="5">
        <f t="shared" si="3"/>
        <v>0.53356499999999996</v>
      </c>
      <c r="G20" s="11">
        <f t="shared" si="0"/>
        <v>-4.0000000000000924E-2</v>
      </c>
      <c r="H20" s="5">
        <f t="shared" ref="H20:H22" si="17">SQRT((F20^2)+(F$17^2))</f>
        <v>0.75997143244006227</v>
      </c>
      <c r="I20" s="15">
        <f t="shared" si="4"/>
        <v>17.406680555432104</v>
      </c>
      <c r="J20" s="10">
        <f t="shared" si="5"/>
        <v>1.6666666666666666E-2</v>
      </c>
      <c r="K20" s="11">
        <f>1-EXP(-$AE$3*I20)</f>
        <v>0.17840256996242865</v>
      </c>
      <c r="L20" s="5">
        <f t="shared" si="6"/>
        <v>1.7081810380627544E-4</v>
      </c>
      <c r="M20" s="11">
        <f>G20/((1+K20))</f>
        <v>-3.3944257267935402E-2</v>
      </c>
      <c r="N20" s="5">
        <f t="shared" si="1"/>
        <v>-0.64491664629462042</v>
      </c>
      <c r="O20" s="11">
        <f>M20*K20</f>
        <v>-6.0557427320655222E-3</v>
      </c>
      <c r="P20" s="5">
        <f t="shared" si="2"/>
        <v>-0.11505478725661607</v>
      </c>
      <c r="Q20" s="11">
        <f t="shared" si="7"/>
        <v>-4.0000000000000924E-2</v>
      </c>
      <c r="R20" s="11">
        <v>0.67079999999999984</v>
      </c>
      <c r="S20" s="5">
        <v>1.4142135623731E-4</v>
      </c>
      <c r="T20" s="11">
        <f>M20/R20</f>
        <v>-5.0602649475157142E-2</v>
      </c>
      <c r="U20" s="5">
        <f t="shared" si="8"/>
        <v>-0.96141420145248269</v>
      </c>
      <c r="V20" s="11">
        <f>SUM($T$2:T20)</f>
        <v>542.00801706274353</v>
      </c>
      <c r="W20" s="5">
        <f>SQRT((U20^2)+(U19^2)+(U18^2)+(U17^2)+(U16^2)+(U15^2)+(U14^2)+(U13^2)+(U12^2)+(U11^2)+(U10^2)+(U9^2)+(U8^2)+(U7^2)+(U6^2)+(U5^2)+(U4^2)+(U3^2)+(U2^2))</f>
        <v>5.8787710811455645</v>
      </c>
      <c r="X20" s="11">
        <f t="shared" si="9"/>
        <v>-5.6573762113225671E-4</v>
      </c>
      <c r="Y20" s="5">
        <f t="shared" si="15"/>
        <v>-1.0748610771577008E-2</v>
      </c>
      <c r="Z20" s="5">
        <f t="shared" si="16"/>
        <v>1.1553263351886128E-4</v>
      </c>
      <c r="AA20" s="11">
        <f>(C20-$AE$6)*24</f>
        <v>208.46665555547224</v>
      </c>
      <c r="AB20" s="16">
        <f t="shared" si="12"/>
        <v>0.99942741350453856</v>
      </c>
      <c r="AC20" s="11">
        <f t="shared" si="13"/>
        <v>-5.660617404404303E-4</v>
      </c>
    </row>
    <row r="21" spans="1:29" x14ac:dyDescent="0.25">
      <c r="A21" s="27" t="s">
        <v>35</v>
      </c>
      <c r="B21" s="24">
        <v>43364.460971122688</v>
      </c>
      <c r="C21" s="13">
        <v>43365.209027256948</v>
      </c>
      <c r="D21" s="14">
        <v>9.31</v>
      </c>
      <c r="E21" s="5">
        <v>6.05</v>
      </c>
      <c r="F21" s="5">
        <f t="shared" si="3"/>
        <v>0.56325500000000006</v>
      </c>
      <c r="G21" s="11">
        <f t="shared" si="0"/>
        <v>0.91999999999999993</v>
      </c>
      <c r="H21" s="5">
        <f t="shared" si="17"/>
        <v>0.78110253099385107</v>
      </c>
      <c r="I21" s="15">
        <f t="shared" si="4"/>
        <v>17.953347222239245</v>
      </c>
      <c r="J21" s="10">
        <f t="shared" si="5"/>
        <v>1.6666666666666666E-2</v>
      </c>
      <c r="K21" s="11">
        <f>1-EXP(-$AE$3*I21)</f>
        <v>0.18345731616349681</v>
      </c>
      <c r="L21" s="5">
        <f t="shared" si="6"/>
        <v>1.7030929654558954E-4</v>
      </c>
      <c r="M21" s="11">
        <f>G21/((1+K21))</f>
        <v>0.77738333899733159</v>
      </c>
      <c r="N21" s="5">
        <f t="shared" si="1"/>
        <v>0.66001788763094671</v>
      </c>
      <c r="O21" s="11">
        <f>M21*K21</f>
        <v>0.14261666100266829</v>
      </c>
      <c r="P21" s="5">
        <f t="shared" si="2"/>
        <v>0.12108518266596079</v>
      </c>
      <c r="Q21" s="11">
        <f t="shared" si="7"/>
        <v>0.91999999999999993</v>
      </c>
      <c r="R21" s="11">
        <v>1.4587000000000003</v>
      </c>
      <c r="S21" s="5">
        <v>1.4142135623731E-4</v>
      </c>
      <c r="T21" s="11">
        <f>M21/R21</f>
        <v>0.53292886748291723</v>
      </c>
      <c r="U21" s="5">
        <f t="shared" si="8"/>
        <v>0.45246993345722897</v>
      </c>
      <c r="V21" s="11">
        <f>SUM($T$2:T21)</f>
        <v>542.54094593022648</v>
      </c>
      <c r="W21" s="5">
        <f>SQRT((U21^2)+(U20^2)+(U19^2)+(U18^2)+(U17^2)+(U16^2)+(U15^2)+(U14^2)+(U13^2)+(U12^2)+(U11^2)+(U10^2)+(U9^2)+(U8^2)+(U7^2)+(U6^2)+(U5^2)+(U4^2)+(U3^2)+(U2^2))</f>
        <v>5.8961579409982043</v>
      </c>
      <c r="X21" s="11">
        <f t="shared" si="9"/>
        <v>1.2956388983288859E-2</v>
      </c>
      <c r="Y21" s="5">
        <f t="shared" si="15"/>
        <v>1.1000298127182445E-2</v>
      </c>
      <c r="Z21" s="5">
        <f t="shared" si="16"/>
        <v>1.2100655888689362E-4</v>
      </c>
      <c r="AA21" s="11">
        <f>(C21-$AE$6)*24</f>
        <v>209.01665416674223</v>
      </c>
      <c r="AB21" s="16">
        <f t="shared" si="12"/>
        <v>0.99942590328046244</v>
      </c>
      <c r="AC21" s="11">
        <f t="shared" si="13"/>
        <v>1.2963831476412105E-2</v>
      </c>
    </row>
    <row r="22" spans="1:29" ht="15.75" thickBot="1" x14ac:dyDescent="0.3">
      <c r="A22" s="28" t="s">
        <v>11</v>
      </c>
      <c r="B22" s="24">
        <v>43364.458333333336</v>
      </c>
      <c r="C22" s="13">
        <v>43365.231943865743</v>
      </c>
      <c r="D22" s="14">
        <v>8.39</v>
      </c>
      <c r="E22" s="5">
        <v>6.38</v>
      </c>
      <c r="F22" s="5">
        <f t="shared" si="3"/>
        <v>0.53528200000000004</v>
      </c>
      <c r="G22" s="11">
        <f t="shared" si="0"/>
        <v>0</v>
      </c>
      <c r="H22" s="5">
        <f t="shared" si="17"/>
        <v>0.76117789538582903</v>
      </c>
      <c r="I22" s="15">
        <f>(C22-B22)*24</f>
        <v>18.566652777779382</v>
      </c>
      <c r="J22" s="10">
        <f t="shared" si="5"/>
        <v>1.6666666666666666E-2</v>
      </c>
      <c r="K22" s="11">
        <f>1-EXP(-$AE$3*I22)</f>
        <v>0.18909123129219463</v>
      </c>
      <c r="L22" s="5">
        <f t="shared" si="6"/>
        <v>1.6974090910496938E-4</v>
      </c>
      <c r="M22" s="11">
        <f>G22/((1+K22))</f>
        <v>0</v>
      </c>
      <c r="N22" s="5" t="e">
        <f t="shared" si="1"/>
        <v>#DIV/0!</v>
      </c>
      <c r="O22" s="11">
        <f>M22*K22</f>
        <v>0</v>
      </c>
      <c r="P22" s="5" t="e">
        <f t="shared" si="2"/>
        <v>#DIV/0!</v>
      </c>
      <c r="Q22" s="11">
        <f t="shared" si="7"/>
        <v>0</v>
      </c>
      <c r="R22" s="11"/>
      <c r="S22" s="5">
        <v>1.4142135623731E-4</v>
      </c>
      <c r="T22" s="11"/>
      <c r="U22" s="5" t="e">
        <f t="shared" si="8"/>
        <v>#DIV/0!</v>
      </c>
      <c r="V22" s="11"/>
      <c r="W22" s="11"/>
      <c r="X22" s="11"/>
      <c r="Y22" s="5" t="e">
        <f t="shared" si="15"/>
        <v>#DIV/0!</v>
      </c>
      <c r="Z22" s="5" t="e">
        <f t="shared" si="16"/>
        <v>#DIV/0!</v>
      </c>
      <c r="AA22" s="11"/>
      <c r="AB22" s="11"/>
      <c r="AC22" s="11"/>
    </row>
    <row r="23" spans="1:29" x14ac:dyDescent="0.25">
      <c r="Y23" s="12" t="s">
        <v>53</v>
      </c>
      <c r="Z23" s="2"/>
      <c r="AB23" s="2"/>
      <c r="AC23">
        <f>SUM(AC2:AC21)</f>
        <v>7.2177816369220498</v>
      </c>
    </row>
    <row r="24" spans="1:29" x14ac:dyDescent="0.25">
      <c r="W24" s="6" t="s">
        <v>54</v>
      </c>
      <c r="X24" s="2">
        <f>SUM(X2:X21)</f>
        <v>7.2137735151872642</v>
      </c>
      <c r="Y24" s="6">
        <f>SQRT(SUM(Z2:Z21))</f>
        <v>7.864618509063874E-2</v>
      </c>
    </row>
    <row r="27" spans="1:29" x14ac:dyDescent="0.25">
      <c r="G27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CT35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2021-06-16T17:13:06Z</dcterms:modified>
</cp:coreProperties>
</file>